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nitbe.sharepoint.com/sites/WanitSA/Shared Documents/General/8_installation/"/>
    </mc:Choice>
  </mc:AlternateContent>
  <xr:revisionPtr revIDLastSave="80" documentId="8_{81B189B6-D3C0-4DDB-AF0A-AED9438B6B5E}" xr6:coauthVersionLast="47" xr6:coauthVersionMax="47" xr10:uidLastSave="{720A037C-4A86-4624-B68A-60E788B8CF29}"/>
  <bookViews>
    <workbookView xWindow="-22320" yWindow="-21600" windowWidth="26010" windowHeight="20985" xr2:uid="{D3014890-0548-4BAF-8997-5DC14A9E3889}"/>
  </bookViews>
  <sheets>
    <sheet name="França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D5" i="1"/>
  <c r="D7" i="1"/>
  <c r="D4" i="1"/>
  <c r="A9" i="1" s="1"/>
  <c r="J16" i="1"/>
  <c r="J20" i="1" s="1"/>
  <c r="K16" i="1"/>
  <c r="K20" i="1" s="1"/>
  <c r="H16" i="1"/>
  <c r="H20" i="1" s="1"/>
  <c r="K18" i="1"/>
  <c r="J18" i="1"/>
  <c r="I18" i="1"/>
  <c r="H18" i="1"/>
  <c r="I16" i="1"/>
  <c r="I20" i="1" s="1"/>
  <c r="F19" i="1" s="1"/>
  <c r="J15" i="1" l="1"/>
  <c r="K15" i="1"/>
  <c r="A24" i="1"/>
  <c r="I15" i="1"/>
  <c r="F18" i="1" s="1"/>
  <c r="A32" i="1" l="1"/>
  <c r="C33" i="1" s="1"/>
  <c r="A30" i="1"/>
  <c r="C31" i="1" s="1" a="1"/>
  <c r="C31" i="1" s="1"/>
  <c r="A28" i="1"/>
  <c r="C29" i="1" s="1" a="1"/>
  <c r="C29" i="1" s="1"/>
  <c r="A26" i="1"/>
  <c r="C27" i="1" s="1" a="1"/>
  <c r="C27" i="1" s="1"/>
  <c r="A23" i="1"/>
  <c r="C25" i="1" s="1" a="1"/>
  <c r="C25" i="1" s="1"/>
  <c r="E23" i="1" l="1"/>
  <c r="A34" i="1" s="1"/>
  <c r="A35" i="1" l="1"/>
  <c r="C3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<sst xmlns="http://schemas.openxmlformats.org/spreadsheetml/2006/main" count="61" uniqueCount="51">
  <si>
    <t>Champs à compléter</t>
  </si>
  <si>
    <t>V250708</t>
  </si>
  <si>
    <t>Outil de dimensionnement PV pour Wanit SolarConnector</t>
  </si>
  <si>
    <t>Données des modules (STC)</t>
  </si>
  <si>
    <t>A</t>
  </si>
  <si>
    <t>V</t>
  </si>
  <si>
    <t>%/°C</t>
  </si>
  <si>
    <t>V/°C</t>
  </si>
  <si>
    <t>Voc (tension de circuit ouvert)</t>
  </si>
  <si>
    <t>Vmpp (tension MPP)</t>
  </si>
  <si>
    <t>Impp (courant MPP)</t>
  </si>
  <si>
    <t>Données du champ photovoltaïque</t>
  </si>
  <si>
    <t>Coéficient de variation de tension suivant la température (Voc)</t>
  </si>
  <si>
    <t>pce</t>
  </si>
  <si>
    <t>Pce</t>
  </si>
  <si>
    <t>°C</t>
  </si>
  <si>
    <t>Données des cables entre SolarConnector et panneaux</t>
  </si>
  <si>
    <t>mm²</t>
  </si>
  <si>
    <t>ml</t>
  </si>
  <si>
    <t>type</t>
  </si>
  <si>
    <t>Aluminium</t>
  </si>
  <si>
    <t>Cuivre</t>
  </si>
  <si>
    <t>Résultats</t>
  </si>
  <si>
    <t>Wc</t>
  </si>
  <si>
    <t>Puissance installée (STC)</t>
  </si>
  <si>
    <t>OK</t>
  </si>
  <si>
    <t>NOT OK: Puissance installée trop importante, réduire le nombre de panneaux</t>
  </si>
  <si>
    <t>Courant MPP sous conditions STC</t>
  </si>
  <si>
    <t>Attention - écrétage important à prendre en compte - courant max en entrée limité à 20A</t>
  </si>
  <si>
    <t>Courant de circuit ouvert sous conditions STC</t>
  </si>
  <si>
    <t>NOT OK: limite max de tension Voc dépassée</t>
  </si>
  <si>
    <t>UNIQUEMENT POUR CHAUFFE - RISK DE TRES FAIBLE CHARGE BATTERIE</t>
  </si>
  <si>
    <t>NOT OK - Tension de démarrage trop basse pour charger ou chauffer</t>
  </si>
  <si>
    <t>NOT OK: Tension de démarrage insuffisant en conditions STC</t>
  </si>
  <si>
    <t>NOT OK - Tension limite de fonctionnement dépassée (max 215V)</t>
  </si>
  <si>
    <t>Pertes dans les câbles</t>
  </si>
  <si>
    <t>W</t>
  </si>
  <si>
    <t>Pmpp / Performance par module</t>
  </si>
  <si>
    <t>ohm/m</t>
  </si>
  <si>
    <t>OK: écrétage non pénalisant</t>
  </si>
  <si>
    <t>OK - Puissance maximale SolarConnector = 1500W</t>
  </si>
  <si>
    <t>Puissance MPP (NOCT) estiméé</t>
  </si>
  <si>
    <t>Courant de circuit ouvert au démarrage par temps chaud (STC)</t>
  </si>
  <si>
    <t>Tension de fonctionnement max par temps froid (STC)</t>
  </si>
  <si>
    <t>Nombre de modules en série (string)</t>
  </si>
  <si>
    <t>Nombre de strings (en parralèle)</t>
  </si>
  <si>
    <t>Température annuelle la plus froide</t>
  </si>
  <si>
    <t>Température la plus chaude atteignable pour un module</t>
  </si>
  <si>
    <t>Sections du conducteur</t>
  </si>
  <si>
    <t>Matière du conducteur</t>
  </si>
  <si>
    <t>Longueurs totale de cables du champ PV au SolarConnector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</si>
</sst>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6"/>
      <color theme="0"/>
      <name val="Aptos Narrow"/>
      <family val="2"/>
      <scheme val="minor"/>
    </font>
    <font>
      <sz val="11"/>
      <color rgb="FFEE0000"/>
      <name val="Aptos Narrow"/>
      <family val="2"/>
      <scheme val="minor"/>
    </font>
    <font>
      <sz val="11"/>
      <color theme="1" tint="0.14999847407452621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0" borderId="0" xfId="0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vertical="center"/>
    </xf>
    <xf numFmtId="0" fontId="0" fillId="3" borderId="0" xfId="0" applyFill="1"/>
    <xf numFmtId="0" fontId="1" fillId="2" borderId="0" xfId="0" applyFont="1" applyFill="1"/>
    <xf numFmtId="0" fontId="5" fillId="0" borderId="0" xfId="0" applyFont="1"/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1" fillId="5" borderId="0" xfId="0" applyFont="1" applyFill="1" applyProtection="1">
      <protection hidden="1"/>
    </xf>
    <xf numFmtId="0" fontId="1" fillId="5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" fontId="1" fillId="5" borderId="1" xfId="0" applyNumberFormat="1" applyFont="1" applyFill="1" applyBorder="1" applyAlignment="1" applyProtection="1">
      <alignment horizontal="center"/>
      <protection hidden="1"/>
    </xf>
    <xf numFmtId="0" fontId="1" fillId="5" borderId="1" xfId="0" applyFont="1" applyFill="1" applyBorder="1" applyAlignment="1" applyProtection="1">
      <alignment horizontal="left" vertical="center"/>
      <protection hidden="1"/>
    </xf>
    <xf numFmtId="2" fontId="1" fillId="5" borderId="1" xfId="0" applyNumberFormat="1" applyFont="1" applyFill="1" applyBorder="1" applyAlignment="1" applyProtection="1">
      <alignment horizontal="center"/>
      <protection hidden="1"/>
    </xf>
    <xf numFmtId="10" fontId="0" fillId="0" borderId="0" xfId="0" applyNumberForma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" fillId="0" borderId="0" xfId="0" applyFont="1"/>
    <xf numFmtId="9" fontId="2" fillId="0" borderId="0" xfId="0" applyNumberFormat="1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Fill="1" applyProtection="1">
      <protection hidden="1"/>
    </xf>
    <xf numFmtId="0" fontId="2" fillId="0" borderId="0" xfId="0" applyFont="1" applyFill="1"/>
    <xf numFmtId="0" fontId="7" fillId="0" borderId="0" xfId="0" applyFont="1" applyFill="1" applyProtection="1">
      <protection hidden="1"/>
    </xf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5559149</xdr:colOff>
      <xdr:row>0</xdr:row>
      <xdr:rowOff>0</xdr:rowOff>
    </xdr:from>
    <xdr:to>
      <xdr:col>3</xdr:col>
      <xdr:colOff>22859</xdr:colOff>
      <xdr:row>4</xdr:row>
      <xdr:rowOff>15240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EBC395-5FE8-E6A0-5949-9E8E55ABA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4249" y="0"/>
          <a:ext cx="8226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E531-B6F4-49C5-8A88-D6575DB50E77}">
  <dimension ref="A2:X42"/>
  <sheetViews>
    <sheetView tabSelected="1" workbookViewId="0">
      <selection activeCell="A4" sqref="A4"/>
    </sheetView>
  </sheetViews>
  <sheetFormatPr baseColWidth="10" defaultRowHeight="14.4" x14ac:dyDescent="0.3"/>
  <cols>
    <col min="1" max="1" width="25.33203125" customWidth="1"/>
    <col min="2" max="2" width="14.21875" customWidth="1"/>
    <col min="3" max="3" width="92.77734375" customWidth="1"/>
    <col min="9" max="9" width="12" bestFit="1" customWidth="1"/>
  </cols>
  <sheetData>
    <row r="2" spans="1:24" ht="21" x14ac:dyDescent="0.4">
      <c r="A2" s="6" t="s">
        <v>0</v>
      </c>
      <c r="B2" s="4" t="s">
        <v>1</v>
      </c>
      <c r="C2" s="5" t="s">
        <v>2</v>
      </c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x14ac:dyDescent="0.3">
      <c r="A3" s="7" t="s">
        <v>3</v>
      </c>
      <c r="B3" s="1"/>
      <c r="C3" s="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x14ac:dyDescent="0.3">
      <c r="A4" s="9">
        <v>435</v>
      </c>
      <c r="B4" s="3" t="s">
        <v>23</v>
      </c>
      <c r="C4" t="s">
        <v>37</v>
      </c>
      <c r="D4" s="21">
        <f>ROUND(A7*A5,0)</f>
        <v>435</v>
      </c>
      <c r="E4" s="21"/>
      <c r="F4" s="21"/>
      <c r="G4" s="21"/>
      <c r="H4" s="21"/>
      <c r="I4" s="21"/>
      <c r="J4" s="21"/>
      <c r="K4" s="21"/>
      <c r="L4" s="21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4" x14ac:dyDescent="0.3">
      <c r="A5" s="10">
        <v>13.27</v>
      </c>
      <c r="B5" s="3" t="s">
        <v>4</v>
      </c>
      <c r="C5" t="s">
        <v>10</v>
      </c>
      <c r="D5" s="23">
        <f>10.72/13.27</f>
        <v>0.80783722682743042</v>
      </c>
      <c r="E5" s="21"/>
      <c r="F5" s="21"/>
      <c r="G5" s="21"/>
      <c r="H5" s="21"/>
      <c r="I5" s="21"/>
      <c r="J5" s="21"/>
      <c r="K5" s="21"/>
      <c r="L5" s="21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x14ac:dyDescent="0.3">
      <c r="A6" s="10">
        <v>39.36</v>
      </c>
      <c r="B6" s="3" t="s">
        <v>5</v>
      </c>
      <c r="C6" t="s">
        <v>8</v>
      </c>
      <c r="D6" s="21"/>
      <c r="E6" s="21"/>
      <c r="F6" s="21"/>
      <c r="G6" s="21"/>
      <c r="H6" s="21"/>
      <c r="I6" s="21"/>
      <c r="J6" s="21"/>
      <c r="K6" s="21"/>
      <c r="L6" s="21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4" x14ac:dyDescent="0.3">
      <c r="A7" s="10">
        <v>32.78</v>
      </c>
      <c r="B7" s="3" t="s">
        <v>5</v>
      </c>
      <c r="C7" t="s">
        <v>9</v>
      </c>
      <c r="D7" s="23">
        <f>30.5/32.78</f>
        <v>0.93044539353264177</v>
      </c>
      <c r="E7" s="21"/>
      <c r="F7" s="21"/>
      <c r="G7" s="21"/>
      <c r="H7" s="21"/>
      <c r="I7" s="21"/>
      <c r="J7" s="21"/>
      <c r="K7" s="21"/>
      <c r="L7" s="21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24" x14ac:dyDescent="0.3">
      <c r="A8" s="11">
        <v>-0.28999999999999998</v>
      </c>
      <c r="B8" s="9" t="s">
        <v>6</v>
      </c>
      <c r="C8" t="s">
        <v>12</v>
      </c>
      <c r="D8" s="21"/>
      <c r="E8" s="21"/>
      <c r="F8" s="21"/>
      <c r="G8" s="21"/>
      <c r="H8" s="24" t="s">
        <v>7</v>
      </c>
      <c r="I8" s="24" t="s">
        <v>6</v>
      </c>
      <c r="J8" s="21"/>
      <c r="K8" s="21"/>
      <c r="L8" s="21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24" x14ac:dyDescent="0.3">
      <c r="A9" s="8" t="str">
        <f>IF(A4=D4,"", "Erreur sur valeur Impp ou Vmpp")</f>
        <v/>
      </c>
      <c r="D9" s="21"/>
      <c r="E9" s="21"/>
      <c r="F9" s="21"/>
      <c r="G9" s="21"/>
      <c r="H9" s="21"/>
      <c r="I9" s="21"/>
      <c r="J9" s="21"/>
      <c r="K9" s="21"/>
      <c r="L9" s="21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24" x14ac:dyDescent="0.3">
      <c r="A10" s="7" t="s">
        <v>11</v>
      </c>
      <c r="B10" s="2"/>
      <c r="C10" s="2"/>
      <c r="D10" s="21"/>
      <c r="E10" s="21"/>
      <c r="F10" s="21"/>
      <c r="G10" s="21"/>
      <c r="H10" s="21"/>
      <c r="I10" s="21"/>
      <c r="J10" s="21"/>
      <c r="K10" s="21"/>
      <c r="L10" s="21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24" x14ac:dyDescent="0.3">
      <c r="A11" s="10">
        <v>1</v>
      </c>
      <c r="B11" s="3" t="s">
        <v>13</v>
      </c>
      <c r="C11" t="s">
        <v>44</v>
      </c>
      <c r="D11" s="21"/>
      <c r="E11" s="21"/>
      <c r="F11" s="21"/>
      <c r="G11" s="21"/>
      <c r="H11" s="21"/>
      <c r="I11" s="21"/>
      <c r="J11" s="21"/>
      <c r="K11" s="21"/>
      <c r="L11" s="21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4" x14ac:dyDescent="0.3">
      <c r="A12" s="10">
        <v>1</v>
      </c>
      <c r="B12" s="3" t="s">
        <v>14</v>
      </c>
      <c r="C12" t="s">
        <v>45</v>
      </c>
      <c r="D12" s="21"/>
      <c r="E12" s="26"/>
      <c r="F12" s="26"/>
      <c r="G12" s="26"/>
      <c r="H12" s="26"/>
      <c r="I12" s="26"/>
      <c r="J12" s="26"/>
      <c r="K12" s="26"/>
      <c r="L12" s="26"/>
      <c r="M12" s="27"/>
      <c r="N12" s="27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4" x14ac:dyDescent="0.3">
      <c r="A13" s="10">
        <v>-15</v>
      </c>
      <c r="B13" s="3" t="s">
        <v>15</v>
      </c>
      <c r="C13" t="s">
        <v>46</v>
      </c>
      <c r="D13" s="21"/>
      <c r="E13" s="26"/>
      <c r="F13" s="26"/>
      <c r="G13" s="26"/>
      <c r="H13" s="26"/>
      <c r="I13" s="26"/>
      <c r="J13" s="26"/>
      <c r="K13" s="26"/>
      <c r="L13" s="26"/>
      <c r="M13" s="27"/>
      <c r="N13" s="27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24" x14ac:dyDescent="0.3">
      <c r="A14" s="10">
        <v>70</v>
      </c>
      <c r="B14" s="3" t="s">
        <v>15</v>
      </c>
      <c r="C14" t="s">
        <v>47</v>
      </c>
      <c r="D14" s="21"/>
      <c r="E14" s="26"/>
      <c r="F14" s="26"/>
      <c r="G14" s="26"/>
      <c r="H14" s="26"/>
      <c r="I14" s="26"/>
      <c r="J14" s="26"/>
      <c r="K14" s="26"/>
      <c r="L14" s="26"/>
      <c r="M14" s="27"/>
      <c r="N14" s="27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4" x14ac:dyDescent="0.3">
      <c r="D15" s="21"/>
      <c r="E15" s="26"/>
      <c r="F15" s="26"/>
      <c r="G15" s="26"/>
      <c r="H15" s="26">
        <f>H18*H16</f>
        <v>2.0359999999999998E-8</v>
      </c>
      <c r="I15" s="26">
        <f>I18*I16</f>
        <v>2.0340000000000002E-8</v>
      </c>
      <c r="J15" s="26">
        <f>J18*J16</f>
        <v>1.9499999999999999E-8</v>
      </c>
      <c r="K15" s="26">
        <f>K18*K16</f>
        <v>1.9839999999999998E-8</v>
      </c>
      <c r="L15" s="26"/>
      <c r="M15" s="27"/>
      <c r="N15" s="27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24" x14ac:dyDescent="0.3">
      <c r="A16" s="7" t="s">
        <v>16</v>
      </c>
      <c r="B16" s="7"/>
      <c r="C16" s="7"/>
      <c r="D16" s="21"/>
      <c r="E16" s="26"/>
      <c r="F16" s="26"/>
      <c r="G16" s="26"/>
      <c r="H16" s="26">
        <f>H17/1000000</f>
        <v>3.9999999999999998E-6</v>
      </c>
      <c r="I16" s="26">
        <f>I17/1000000</f>
        <v>6.0000000000000002E-6</v>
      </c>
      <c r="J16" s="26">
        <f>J17/1000000</f>
        <v>1.0000000000000001E-5</v>
      </c>
      <c r="K16" s="26">
        <f>K17/1000000</f>
        <v>1.5999999999999999E-5</v>
      </c>
      <c r="L16" s="26"/>
      <c r="M16" s="27"/>
      <c r="N16" s="27"/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 x14ac:dyDescent="0.3">
      <c r="A17" s="13">
        <v>6</v>
      </c>
      <c r="B17" s="3" t="s">
        <v>17</v>
      </c>
      <c r="C17" t="s">
        <v>48</v>
      </c>
      <c r="D17" s="21"/>
      <c r="E17" s="26"/>
      <c r="F17" s="26"/>
      <c r="G17" s="26"/>
      <c r="H17" s="26">
        <v>4</v>
      </c>
      <c r="I17" s="26">
        <v>6</v>
      </c>
      <c r="J17" s="26">
        <v>10</v>
      </c>
      <c r="K17" s="26">
        <v>16</v>
      </c>
      <c r="L17" s="26"/>
      <c r="M17" s="27"/>
      <c r="N17" s="27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 x14ac:dyDescent="0.3">
      <c r="A18" s="10" t="s">
        <v>21</v>
      </c>
      <c r="B18" s="3" t="s">
        <v>19</v>
      </c>
      <c r="C18" t="s">
        <v>49</v>
      </c>
      <c r="D18" s="21"/>
      <c r="E18" s="26"/>
      <c r="F18" s="26">
        <f>I15</f>
        <v>2.0340000000000002E-8</v>
      </c>
      <c r="G18" s="26" t="s">
        <v>21</v>
      </c>
      <c r="H18" s="26">
        <f>5.09/1000</f>
        <v>5.0899999999999999E-3</v>
      </c>
      <c r="I18" s="26">
        <f>3.39/1000</f>
        <v>3.3900000000000002E-3</v>
      </c>
      <c r="J18" s="26">
        <f>1.95/1000</f>
        <v>1.9499999999999999E-3</v>
      </c>
      <c r="K18" s="26">
        <f>1.24/1000</f>
        <v>1.24E-3</v>
      </c>
      <c r="L18" s="26" t="s">
        <v>38</v>
      </c>
      <c r="M18" s="27"/>
      <c r="N18" s="27"/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4" x14ac:dyDescent="0.3">
      <c r="A19" s="10">
        <v>40</v>
      </c>
      <c r="B19" s="3" t="s">
        <v>18</v>
      </c>
      <c r="C19" t="s">
        <v>50</v>
      </c>
      <c r="D19" s="21"/>
      <c r="E19" s="26"/>
      <c r="F19" s="26">
        <f>I20</f>
        <v>5.4660000000000001E-8</v>
      </c>
      <c r="G19" s="26" t="s">
        <v>20</v>
      </c>
      <c r="H19" s="26">
        <v>1.3665E-2</v>
      </c>
      <c r="I19" s="26">
        <v>9.11E-3</v>
      </c>
      <c r="J19" s="26">
        <v>5.4660000000000004E-3</v>
      </c>
      <c r="K19" s="26">
        <v>3.4160000000000002E-3</v>
      </c>
      <c r="L19" s="26"/>
      <c r="M19" s="27"/>
      <c r="N19" s="27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 x14ac:dyDescent="0.3">
      <c r="A20" s="12"/>
      <c r="B20" s="12"/>
      <c r="C20" s="12"/>
      <c r="D20" s="21"/>
      <c r="E20" s="26"/>
      <c r="F20" s="26"/>
      <c r="G20" s="26"/>
      <c r="H20" s="26">
        <f>H16*H19</f>
        <v>5.4660000000000001E-8</v>
      </c>
      <c r="I20" s="26">
        <f>I16*I19</f>
        <v>5.4660000000000001E-8</v>
      </c>
      <c r="J20" s="26">
        <f>J16*J19</f>
        <v>5.4660000000000008E-8</v>
      </c>
      <c r="K20" s="26">
        <f>K16*K19</f>
        <v>5.4656000000000003E-8</v>
      </c>
      <c r="L20" s="26"/>
      <c r="M20" s="27"/>
      <c r="N20" s="27"/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4" x14ac:dyDescent="0.3">
      <c r="A21" s="14" t="s">
        <v>22</v>
      </c>
      <c r="B21" s="14"/>
      <c r="C21" s="14"/>
      <c r="D21" s="21"/>
      <c r="E21" s="26"/>
      <c r="F21" s="22"/>
      <c r="G21" s="22"/>
      <c r="H21" s="22"/>
      <c r="I21" s="22"/>
      <c r="J21" s="22"/>
      <c r="K21" s="22"/>
      <c r="L21" s="22"/>
      <c r="M21" s="27"/>
      <c r="N21" s="27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 x14ac:dyDescent="0.3">
      <c r="A22" s="12"/>
      <c r="B22" s="12"/>
      <c r="C22" s="12"/>
      <c r="D22" s="21"/>
      <c r="E22" s="26"/>
      <c r="F22" s="26"/>
      <c r="G22" s="26"/>
      <c r="H22" s="26"/>
      <c r="I22" s="26"/>
      <c r="J22" s="26"/>
      <c r="K22" s="26"/>
      <c r="L22" s="26"/>
      <c r="M22" s="27"/>
      <c r="N22" s="27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 x14ac:dyDescent="0.3">
      <c r="A23" s="15">
        <f>A4*A11*A12</f>
        <v>435</v>
      </c>
      <c r="B23" s="16" t="s">
        <v>23</v>
      </c>
      <c r="C23" s="12" t="s">
        <v>24</v>
      </c>
      <c r="D23" s="21"/>
      <c r="E23" s="26">
        <f>MIN(A23,1500)</f>
        <v>435</v>
      </c>
      <c r="F23" s="26"/>
      <c r="G23" s="26" t="s">
        <v>25</v>
      </c>
      <c r="H23" s="26" t="s">
        <v>40</v>
      </c>
      <c r="I23" s="26"/>
      <c r="J23" s="26"/>
      <c r="K23" s="26"/>
      <c r="L23" s="26"/>
      <c r="M23" s="27"/>
      <c r="N23" s="27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 x14ac:dyDescent="0.3">
      <c r="A24" s="17">
        <f>(A5*D5*A7*D7)*A11*A12</f>
        <v>326.95999999999998</v>
      </c>
      <c r="B24" s="16" t="s">
        <v>23</v>
      </c>
      <c r="C24" s="12" t="s">
        <v>41</v>
      </c>
      <c r="D24" s="21"/>
      <c r="E24" s="26"/>
      <c r="F24" s="26"/>
      <c r="G24" s="26"/>
      <c r="H24" s="26"/>
      <c r="I24" s="26"/>
      <c r="J24" s="26"/>
      <c r="K24" s="26"/>
      <c r="L24" s="26"/>
      <c r="M24" s="27"/>
      <c r="N24" s="27"/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pans="1:24" ht="22.2" customHeight="1" x14ac:dyDescent="0.3">
      <c r="A25" s="16"/>
      <c r="B25" s="12"/>
      <c r="C25" s="18" t="str" cm="1">
        <f t="array" ref="C25">_xlfn.IFS(A24&lt;=1600,G23,A23&gt;3600,H25,A24&gt;1600,H23)</f>
        <v>OK</v>
      </c>
      <c r="D25" s="21"/>
      <c r="E25" s="26"/>
      <c r="F25" s="26"/>
      <c r="G25" s="26"/>
      <c r="H25" s="26" t="s">
        <v>26</v>
      </c>
      <c r="I25" s="26"/>
      <c r="J25" s="26"/>
      <c r="K25" s="26"/>
      <c r="L25" s="26"/>
      <c r="M25" s="27"/>
      <c r="N25" s="27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 x14ac:dyDescent="0.3">
      <c r="A26" s="15">
        <f>A5*A12</f>
        <v>13.27</v>
      </c>
      <c r="B26" s="16" t="s">
        <v>4</v>
      </c>
      <c r="C26" s="12" t="s">
        <v>27</v>
      </c>
      <c r="D26" s="21"/>
      <c r="E26" s="26"/>
      <c r="F26" s="26"/>
      <c r="G26" s="26"/>
      <c r="H26" s="26" t="s">
        <v>28</v>
      </c>
      <c r="I26" s="26"/>
      <c r="J26" s="26"/>
      <c r="K26" s="26"/>
      <c r="L26" s="26"/>
      <c r="M26" s="27"/>
      <c r="N26" s="27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4" ht="19.8" customHeight="1" x14ac:dyDescent="0.3">
      <c r="A27" s="16"/>
      <c r="B27" s="16"/>
      <c r="C27" s="18" t="str" cm="1">
        <f t="array" ref="C27">_xlfn.IFS(A26&lt;20,G23,A26&lt;30,H27,A26&gt;30,H26)</f>
        <v>OK</v>
      </c>
      <c r="D27" s="21"/>
      <c r="E27" s="26"/>
      <c r="F27" s="26"/>
      <c r="G27" s="26"/>
      <c r="H27" s="26" t="s">
        <v>39</v>
      </c>
      <c r="I27" s="26"/>
      <c r="J27" s="26"/>
      <c r="K27" s="26"/>
      <c r="L27" s="26"/>
      <c r="M27" s="27"/>
      <c r="N27" s="27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 x14ac:dyDescent="0.3">
      <c r="A28" s="19">
        <f>A6*A11</f>
        <v>39.36</v>
      </c>
      <c r="B28" s="16" t="s">
        <v>5</v>
      </c>
      <c r="C28" s="12" t="s">
        <v>29</v>
      </c>
      <c r="D28" s="21"/>
      <c r="E28" s="26"/>
      <c r="F28" s="26"/>
      <c r="G28" s="26"/>
      <c r="H28" s="26"/>
      <c r="I28" s="26"/>
      <c r="J28" s="26"/>
      <c r="K28" s="26"/>
      <c r="L28" s="26"/>
      <c r="M28" s="27"/>
      <c r="N28" s="27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 ht="23.4" customHeight="1" x14ac:dyDescent="0.3">
      <c r="A29" s="12"/>
      <c r="B29" s="16"/>
      <c r="C29" s="18" t="str" cm="1">
        <f t="array" ref="C29">_xlfn.IFS(A28&lt;50,H30,A28&lt;200,G23,A28&gt;50,H29)</f>
        <v>NOT OK: Tension de démarrage insuffisant en conditions STC</v>
      </c>
      <c r="D29" s="21"/>
      <c r="E29" s="26"/>
      <c r="F29" s="26"/>
      <c r="G29" s="26"/>
      <c r="H29" s="26" t="s">
        <v>30</v>
      </c>
      <c r="I29" s="26"/>
      <c r="J29" s="26"/>
      <c r="K29" s="26"/>
      <c r="L29" s="26"/>
      <c r="M29" s="27"/>
      <c r="N29" s="27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 x14ac:dyDescent="0.3">
      <c r="A30" s="19">
        <f>IF(B8=H8,A11*A6+(A14-25)*A11*A8,A11*A6+A8/100*(A14-25)*A11*A6)</f>
        <v>34.223520000000001</v>
      </c>
      <c r="B30" s="16" t="s">
        <v>5</v>
      </c>
      <c r="C30" s="12" t="s">
        <v>42</v>
      </c>
      <c r="D30" s="21"/>
      <c r="E30" s="26"/>
      <c r="F30" s="26"/>
      <c r="G30" s="26"/>
      <c r="H30" s="26" t="s">
        <v>33</v>
      </c>
      <c r="I30" s="26"/>
      <c r="J30" s="26"/>
      <c r="K30" s="26"/>
      <c r="L30" s="26"/>
      <c r="M30" s="27"/>
      <c r="N30" s="27"/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1:24" ht="19.2" customHeight="1" x14ac:dyDescent="0.3">
      <c r="A31" s="12"/>
      <c r="B31" s="16"/>
      <c r="C31" s="18" t="str" cm="1">
        <f t="array" ref="C31">_xlfn.IFS(A30&gt;60,G23,A30&gt;50,H32,A30&lt;50,H31)</f>
        <v>NOT OK - Tension de démarrage trop basse pour charger ou chauffer</v>
      </c>
      <c r="D31" s="21"/>
      <c r="E31" s="26"/>
      <c r="F31" s="26"/>
      <c r="G31" s="26"/>
      <c r="H31" s="26" t="s">
        <v>32</v>
      </c>
      <c r="I31" s="26"/>
      <c r="J31" s="26"/>
      <c r="K31" s="26"/>
      <c r="L31" s="26"/>
      <c r="M31" s="27"/>
      <c r="N31" s="27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 ht="13.8" customHeight="1" x14ac:dyDescent="0.3">
      <c r="A32" s="19">
        <f>IF(B8=H8,A7*A11+A8*(-25+A13)*A11,A7*A11+A8/100*(-25+A13)*A7*A11)</f>
        <v>36.582480000000004</v>
      </c>
      <c r="B32" s="16" t="s">
        <v>5</v>
      </c>
      <c r="C32" s="12" t="s">
        <v>43</v>
      </c>
      <c r="D32" s="21"/>
      <c r="E32" s="26"/>
      <c r="F32" s="26"/>
      <c r="G32" s="26"/>
      <c r="H32" s="26" t="s">
        <v>31</v>
      </c>
      <c r="I32" s="26"/>
      <c r="J32" s="26"/>
      <c r="K32" s="26"/>
      <c r="L32" s="26"/>
      <c r="M32" s="27"/>
      <c r="N32" s="27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4" ht="20.399999999999999" customHeight="1" x14ac:dyDescent="0.3">
      <c r="A33" s="12"/>
      <c r="B33" s="16"/>
      <c r="C33" s="18" t="str">
        <f>IF(A32&lt;215,G23,H33)</f>
        <v>OK</v>
      </c>
      <c r="D33" s="21"/>
      <c r="E33" s="26"/>
      <c r="F33" s="26"/>
      <c r="G33" s="26"/>
      <c r="H33" s="26" t="s">
        <v>34</v>
      </c>
      <c r="I33" s="26"/>
      <c r="J33" s="26"/>
      <c r="K33" s="26"/>
      <c r="L33" s="26"/>
      <c r="M33" s="27"/>
      <c r="N33" s="27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 x14ac:dyDescent="0.3">
      <c r="A34" s="19">
        <f>_xlfn.IFS(A18=G18,((F18/A17*1000000)*1000*(E23/1000*E23/1000)*A19*1000/(A32*A32)),A18=G19,((F19/A17*1000000)*1000*(E23/1000*E23/1000)*A$19*1000/(A$32*A$32)))</f>
        <v>19.173081386023505</v>
      </c>
      <c r="B34" s="16" t="s">
        <v>36</v>
      </c>
      <c r="C34" s="12" t="s">
        <v>35</v>
      </c>
      <c r="D34" s="21"/>
      <c r="E34" s="26"/>
      <c r="F34" s="26"/>
      <c r="G34" s="26"/>
      <c r="H34" s="26"/>
      <c r="I34" s="26"/>
      <c r="J34" s="26"/>
      <c r="K34" s="26"/>
      <c r="L34" s="26"/>
      <c r="M34" s="27"/>
      <c r="N34" s="27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21" customHeight="1" x14ac:dyDescent="0.3">
      <c r="A35" s="20">
        <f>A34/A23</f>
        <v>4.4076049163272422E-2</v>
      </c>
      <c r="B35" s="16"/>
      <c r="C35" s="18" t="str">
        <f>IF(A35&lt;2%,G23,"NOT OK - TROP DE PERTES - AUGMENTER LA SECTION OU REDUISEZ LES LONGUEURS")</f>
        <v>NOT OK - TROP DE PERTES - AUGMENTER LA SECTION OU REDUISEZ LES LONGUEURS</v>
      </c>
      <c r="D35" s="21"/>
      <c r="E35" s="26"/>
      <c r="F35" s="26"/>
      <c r="G35" s="26"/>
      <c r="H35" s="26"/>
      <c r="I35" s="26"/>
      <c r="J35" s="26"/>
      <c r="K35" s="26"/>
      <c r="L35" s="26"/>
      <c r="M35" s="27"/>
      <c r="N35" s="27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 x14ac:dyDescent="0.3">
      <c r="A36" s="12"/>
      <c r="B36" s="12"/>
      <c r="C36" s="12"/>
      <c r="D36" s="21"/>
      <c r="E36" s="26"/>
      <c r="F36" s="26"/>
      <c r="G36" s="26"/>
      <c r="H36" s="26"/>
      <c r="I36" s="26"/>
      <c r="J36" s="26"/>
      <c r="K36" s="26"/>
      <c r="L36" s="26"/>
      <c r="M36" s="27"/>
      <c r="N36" s="27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 x14ac:dyDescent="0.3">
      <c r="A37" s="12"/>
      <c r="B37" s="12"/>
      <c r="C37" s="12"/>
      <c r="D37" s="21"/>
      <c r="E37" s="28"/>
      <c r="F37" s="28"/>
      <c r="G37" s="28"/>
      <c r="H37" s="28"/>
      <c r="I37" s="28"/>
      <c r="J37" s="28"/>
      <c r="K37" s="28"/>
      <c r="L37" s="28"/>
      <c r="M37" s="29"/>
      <c r="N37" s="29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 x14ac:dyDescent="0.3">
      <c r="A38" s="12"/>
      <c r="B38" s="12"/>
      <c r="C38" s="12"/>
      <c r="D38" s="21"/>
      <c r="E38" s="25"/>
      <c r="F38" s="25"/>
      <c r="G38" s="25"/>
      <c r="H38" s="25"/>
      <c r="I38" s="25"/>
      <c r="J38" s="25"/>
      <c r="K38" s="25"/>
      <c r="L38" s="21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 x14ac:dyDescent="0.3">
      <c r="A39" s="12"/>
      <c r="B39" s="12"/>
      <c r="C39" s="12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x14ac:dyDescent="0.3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x14ac:dyDescent="0.3"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 x14ac:dyDescent="0.3"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</sheetData>
  <sheetProtection algorithmName="SHA-512" hashValue="Ux2OpeIL+VEKP5YF9dHUuAVe3aWckQW6IrxzS9CoEehctPzwspRXgX/uFxxMw57xd+x8DmHVOM9p8QiFm0LEXA==" saltValue="R3zwyRmsZdBUmpGx9lLN3Q==" spinCount="100000" sheet="1" objects="1" scenarios="1" selectLockedCells="1"/>
  <dataValidations count="4">
    <dataValidation type="list" allowBlank="1" showInputMessage="1" showErrorMessage="1" errorTitle="champ invalide" error="Choisissez dans le menu déroulant V/°C ou %/°C" promptTitle="Choisissez l'unité" sqref="B8" xr:uid="{2EC43924-BFC3-4515-8AD8-A1AE67C4E117}">
      <formula1>$H$8:$I$8</formula1>
    </dataValidation>
    <dataValidation type="list" allowBlank="1" showInputMessage="1" showErrorMessage="1" sqref="A17" xr:uid="{B744EF3F-2E2D-4903-A50B-7E06042A23B6}">
      <formula1>$H$17:$K$17</formula1>
    </dataValidation>
    <dataValidation type="list" allowBlank="1" showInputMessage="1" showErrorMessage="1" errorTitle="champ erronné" promptTitle="choisir la matière du conducteur" sqref="A18" xr:uid="{1061C0EA-0F84-4291-AC4D-C968046CD236}">
      <formula1>$G$18:$G$19</formula1>
    </dataValidation>
    <dataValidation type="list" allowBlank="1" showInputMessage="1" showErrorMessage="1" sqref="A18" xr:uid="{53DE9ADD-5AD8-452C-9DC7-40A3F0647D0A}">
      <formula1>$G$18:$G$18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47c6ed-4ff9-419f-a106-25dc3b2c058e">
      <Terms xmlns="http://schemas.microsoft.com/office/infopath/2007/PartnerControls"/>
    </lcf76f155ced4ddcb4097134ff3c332f>
    <TaxCatchAll xmlns="768dfaaa-93a1-429c-99cf-c1bdc4a6c26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ECC4D4635D6947A71024B01226388E" ma:contentTypeVersion="15" ma:contentTypeDescription="Create a new document." ma:contentTypeScope="" ma:versionID="6f4c22796d4745d6430db5663983351c">
  <xsd:schema xmlns:xsd="http://www.w3.org/2001/XMLSchema" xmlns:xs="http://www.w3.org/2001/XMLSchema" xmlns:p="http://schemas.microsoft.com/office/2006/metadata/properties" xmlns:ns2="9b47c6ed-4ff9-419f-a106-25dc3b2c058e" xmlns:ns3="768dfaaa-93a1-429c-99cf-c1bdc4a6c264" targetNamespace="http://schemas.microsoft.com/office/2006/metadata/properties" ma:root="true" ma:fieldsID="cd007c76eba0042261b5ff1d7f1a344c" ns2:_="" ns3:_="">
    <xsd:import namespace="9b47c6ed-4ff9-419f-a106-25dc3b2c058e"/>
    <xsd:import namespace="768dfaaa-93a1-429c-99cf-c1bdc4a6c2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7c6ed-4ff9-419f-a106-25dc3b2c05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fa6c07f-ae21-4b09-a861-07cd9ac9e4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dfaaa-93a1-429c-99cf-c1bdc4a6c26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966db18-dcca-4b7f-a36d-35a07c0b79ce}" ma:internalName="TaxCatchAll" ma:showField="CatchAllData" ma:web="768dfaaa-93a1-429c-99cf-c1bdc4a6c2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0A5E8E-7237-48D7-82C5-8E9DE2FC0AD6}">
  <ds:schemaRefs>
    <ds:schemaRef ds:uri="http://schemas.microsoft.com/office/2006/metadata/properties"/>
    <ds:schemaRef ds:uri="http://schemas.microsoft.com/office/infopath/2007/PartnerControls"/>
    <ds:schemaRef ds:uri="9b47c6ed-4ff9-419f-a106-25dc3b2c058e"/>
    <ds:schemaRef ds:uri="768dfaaa-93a1-429c-99cf-c1bdc4a6c264"/>
  </ds:schemaRefs>
</ds:datastoreItem>
</file>

<file path=customXml/itemProps2.xml><?xml version="1.0" encoding="utf-8"?>
<ds:datastoreItem xmlns:ds="http://schemas.openxmlformats.org/officeDocument/2006/customXml" ds:itemID="{AE31789D-0821-41BA-BC96-7EBD818D9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47c6ed-4ff9-419f-a106-25dc3b2c058e"/>
    <ds:schemaRef ds:uri="768dfaaa-93a1-429c-99cf-c1bdc4a6c2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756108-7CA7-4B18-AC96-C1185FEB8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Français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BAYET</dc:creator>
  <cp:lastModifiedBy>Christian BAYET</cp:lastModifiedBy>
  <dcterms:created xsi:type="dcterms:W3CDTF">2025-07-08T16:15:17Z</dcterms:created>
  <dcterms:modified xsi:type="dcterms:W3CDTF">2025-07-09T16:57:42Z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0x01010036ECC4D4635D6947A71024B01226388E</vt:lpwstr>
  </property>
  <property fmtid="{D5CDD505-2E9C-101B-9397-08002B2CF9AE}" pid="3" name="MediaServiceImageTags">
    <vt:lpwstr/>
  </property>
</Properties>
</file>